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Historical FY" sheetId="2" state="visible" r:id="rId2"/>
    <sheet xmlns:r="http://schemas.openxmlformats.org/officeDocument/2006/relationships" name="Monthly FY24-26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Account of Profits" sheetId="5" state="visible" r:id="rId5"/>
    <sheet xmlns:r="http://schemas.openxmlformats.org/officeDocument/2006/relationships" name="Clawback Counter" sheetId="6" state="visible" r:id="rId6"/>
    <sheet xmlns:r="http://schemas.openxmlformats.org/officeDocument/2006/relationships" name="Damages Summary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0.0%;\(0.0%\);\-"/>
    <numFmt numFmtId="165" formatCode="0.0\x"/>
    <numFmt numFmtId="166" formatCode="\$#,##0;&quot;($&quot;#,##0\);\-"/>
    <numFmt numFmtId="167" formatCode="$#,##0.0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9"/>
      <sz val="14"/>
    </font>
    <font>
      <name val="Arial"/>
      <charset val="1"/>
      <family val="0"/>
      <i val="1"/>
      <color rgb="FF606060"/>
      <sz val="9"/>
    </font>
    <font>
      <name val="Arial"/>
      <charset val="1"/>
      <family val="0"/>
      <b val="1"/>
      <color rgb="FF1F4E79"/>
      <sz val="11"/>
    </font>
    <font>
      <name val="Arial"/>
      <charset val="1"/>
      <family val="0"/>
      <b val="1"/>
      <color rgb="FF0000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C00000"/>
      <sz val="10"/>
    </font>
    <font>
      <name val="Arial"/>
      <charset val="1"/>
      <family val="0"/>
      <color rgb="FF008000"/>
      <sz val="10"/>
    </font>
    <font>
      <name val="Arial"/>
      <family val="2"/>
      <sz val="10"/>
    </font>
    <font>
      <name val="Arial"/>
      <b val="1"/>
      <color rgb="000000FF"/>
      <sz val="11"/>
    </font>
    <font>
      <name val="Arial"/>
      <i val="1"/>
      <sz val="9"/>
    </font>
  </fonts>
  <fills count="6">
    <fill>
      <patternFill/>
    </fill>
    <fill>
      <patternFill patternType="gray125"/>
    </fill>
    <fill>
      <patternFill patternType="solid">
        <fgColor rgb="FFD5E8F0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rgb="00E8F0FE"/>
        <bgColor rgb="00E8F0FE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3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5" fontId="8" fillId="3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166" fontId="8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0" fontId="12" fillId="3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166" fontId="11" fillId="3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166" fontId="7" fillId="3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top" wrapText="1"/>
    </xf>
    <xf numFmtId="166" fontId="13" fillId="3" borderId="0" applyAlignment="1" pivotButton="0" quotePrefix="0" xfId="0">
      <alignment horizontal="general" vertical="bottom"/>
    </xf>
    <xf numFmtId="165" fontId="11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166" fontId="12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5" fontId="8" fillId="3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166" fontId="8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0" fontId="12" fillId="3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general" vertical="bottom"/>
    </xf>
    <xf numFmtId="166" fontId="13" fillId="5" borderId="0" applyAlignment="1" pivotButton="0" quotePrefix="0" xfId="0">
      <alignment horizontal="general" vertical="bottom"/>
    </xf>
    <xf numFmtId="165" fontId="13" fillId="5" borderId="0" applyAlignment="1" pivotButton="0" quotePrefix="0" xfId="0">
      <alignment horizontal="general" vertical="bottom"/>
    </xf>
    <xf numFmtId="166" fontId="11" fillId="5" borderId="0" applyAlignment="1" pivotButton="0" quotePrefix="0" xfId="0">
      <alignment horizontal="general" vertical="bottom"/>
    </xf>
    <xf numFmtId="166" fontId="11" fillId="3" borderId="0" applyAlignment="1" pivotButton="0" quotePrefix="0" xfId="0">
      <alignment horizontal="general" vertical="bottom"/>
    </xf>
    <xf numFmtId="0" fontId="15" fillId="0" borderId="0" pivotButton="0" quotePrefix="0" xfId="0"/>
    <xf numFmtId="167" fontId="15" fillId="0" borderId="0" pivotButton="0" quotePrefix="0" xfId="0"/>
    <xf numFmtId="0" fontId="13" fillId="0" borderId="0" applyAlignment="1" pivotButton="0" quotePrefix="0" xfId="0">
      <alignment horizontal="general" vertical="bottom"/>
    </xf>
    <xf numFmtId="166" fontId="7" fillId="3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top" wrapText="1"/>
    </xf>
    <xf numFmtId="166" fontId="13" fillId="3" borderId="0" applyAlignment="1" pivotButton="0" quotePrefix="0" xfId="0">
      <alignment horizontal="general" vertical="bottom"/>
    </xf>
    <xf numFmtId="165" fontId="11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166" fontId="12" fillId="3" borderId="0" applyAlignment="1" pivotButton="0" quotePrefix="0" xfId="0">
      <alignment horizontal="general" vertical="bottom"/>
    </xf>
    <xf numFmtId="0" fontId="16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Model</author>
  </authors>
  <commentList>
    <comment ref="E5" authorId="0" shapeId="0">
      <text>
        <t>EV = NP × multiple + cash on hand</t>
      </text>
    </comment>
    <comment ref="E6" authorId="0" shapeId="0">
      <text>
        <t>EV = NP × multiple + cash on hand</t>
      </text>
    </comment>
    <comment ref="E7" authorId="0" shapeId="0">
      <text>
        <t>EV = NP × multiple + cash on hand</t>
      </text>
    </comment>
    <comment ref="E8" authorId="0" shapeId="0">
      <text>
        <t>EV = NP × multiple + cash on hand</t>
      </text>
    </comment>
    <comment ref="E9" authorId="0" shapeId="0">
      <text>
        <t>EV = NP × multiple + cash on hand</t>
      </text>
    </comment>
    <comment ref="E10" authorId="0" shapeId="0">
      <text>
        <t>EV = NP × multiple + cash on hand</t>
      </text>
    </comment>
    <comment ref="E11" authorId="0" shapeId="0">
      <text>
        <t>EV = NP × multiple + cash on hand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31" min="1" max="1"/>
    <col width="18" customWidth="1" style="31" min="2" max="2"/>
    <col width="50" customWidth="1" style="31" min="3" max="3"/>
  </cols>
  <sheetData>
    <row r="1" ht="17.35" customHeight="1" s="32">
      <c r="A1" s="33" t="inlineStr">
        <is>
          <t>Raw Mobility Pty Ltd — Damages &amp; Valuation Assumptions</t>
        </is>
      </c>
    </row>
    <row r="2" ht="15" customHeight="1" s="32">
      <c r="A2" s="34" t="inlineStr">
        <is>
          <t>All inputs below in BLUE — change to flex the model. All outputs in BLACK.</t>
        </is>
      </c>
    </row>
    <row r="4" ht="15" customHeight="1" s="32">
      <c r="A4" s="35" t="inlineStr">
        <is>
          <t>Cap Table</t>
        </is>
      </c>
    </row>
    <row r="5" ht="15" customHeight="1" s="32">
      <c r="A5" s="36" t="inlineStr">
        <is>
          <t>Asaf shareholding %</t>
        </is>
      </c>
      <c r="B5" s="37" t="n">
        <v>0.18</v>
      </c>
      <c r="C5" s="34" t="inlineStr">
        <is>
          <t>via SEA Discretionary Trust</t>
        </is>
      </c>
    </row>
    <row r="6" ht="15" customHeight="1" s="32">
      <c r="A6" s="38" t="inlineStr">
        <is>
          <t>Marlau Trust shareholding %</t>
        </is>
      </c>
      <c r="B6" s="39" t="n">
        <v>0.82</v>
      </c>
      <c r="C6" s="34" t="inlineStr">
        <is>
          <t>controlled by Brad Gishen / Martin Gishen as trustee</t>
        </is>
      </c>
    </row>
    <row r="7" ht="15" customHeight="1" s="32">
      <c r="A7" s="35" t="inlineStr">
        <is>
          <t>Valuation Multiples (EV / Net Profit)</t>
        </is>
      </c>
    </row>
    <row r="8" ht="15" customHeight="1" s="32">
      <c r="A8" s="36" t="inlineStr">
        <is>
          <t>Conservative multiple</t>
        </is>
      </c>
      <c r="B8" s="40" t="n">
        <v>4</v>
      </c>
      <c r="C8" s="34" t="inlineStr">
        <is>
          <t>low end — distressed / SME tech</t>
        </is>
      </c>
    </row>
    <row r="9" ht="15" customHeight="1" s="32">
      <c r="A9" s="38" t="inlineStr">
        <is>
          <t>Mid multiple</t>
        </is>
      </c>
      <c r="B9" s="41" t="n">
        <v>5</v>
      </c>
      <c r="C9" s="34" t="inlineStr">
        <is>
          <t>mid — bulk SMS / messaging tech</t>
        </is>
      </c>
    </row>
    <row r="10" ht="15" customHeight="1" s="32">
      <c r="A10" s="36" t="inlineStr">
        <is>
          <t>High multiple</t>
        </is>
      </c>
      <c r="B10" s="40" t="n">
        <v>8</v>
      </c>
      <c r="C10" s="34" t="inlineStr">
        <is>
          <t>high — pre-decline run-rate, tech/SaaS comparable</t>
        </is>
      </c>
    </row>
    <row r="11" ht="15" customHeight="1" s="32">
      <c r="A11" s="35" t="inlineStr">
        <is>
          <t>Run-Rate Bases (sourced from RM Multi-Month P&amp;L)</t>
        </is>
      </c>
    </row>
    <row r="12" ht="15" customHeight="1" s="32">
      <c r="A12" s="38" t="inlineStr">
        <is>
          <t>FY 2024-25 actual net profit ($)</t>
        </is>
      </c>
      <c r="B12" s="42" t="n">
        <v>3373388.53</v>
      </c>
      <c r="C12" s="34" t="inlineStr">
        <is>
          <t>Source: RM_MultiYear_PnL.csv FY24-25 row</t>
        </is>
      </c>
    </row>
    <row r="13" ht="15" customHeight="1" s="32">
      <c r="A13" s="36" t="inlineStr">
        <is>
          <t>June 2025 peak net profit ($)</t>
        </is>
      </c>
      <c r="B13" s="43" t="n">
        <v>532557.33</v>
      </c>
      <c r="C13" s="34" t="inlineStr">
        <is>
          <t>Source: RM_MultiMonth_PnL.csv Jun-2025</t>
        </is>
      </c>
    </row>
    <row r="14" ht="15" customHeight="1" s="32">
      <c r="A14" s="38" t="inlineStr">
        <is>
          <t>May 2025 net profit ($)</t>
        </is>
      </c>
      <c r="B14" s="42" t="n">
        <v>445606.98</v>
      </c>
    </row>
    <row r="15" ht="15" customHeight="1" s="32">
      <c r="A15" s="38" t="inlineStr">
        <is>
          <t>Brad's own MBVT-to-RWM monthly baseline ($/mo)</t>
        </is>
      </c>
      <c r="B15" s="42" t="n">
        <v>345500</v>
      </c>
      <c r="C15" s="34" t="inlineStr">
        <is>
          <t>Source: Brad's 13 May 2025 Excel — understates actual ~30%</t>
        </is>
      </c>
    </row>
    <row r="16" ht="15" customHeight="1" s="32">
      <c r="A16" s="38" t="inlineStr">
        <is>
          <t>December 2025 net profit ($)</t>
        </is>
      </c>
      <c r="B16" s="42" t="n">
        <v>80945.75999999999</v>
      </c>
      <c r="C16" s="34" t="inlineStr">
        <is>
          <t>post-collapse run rate</t>
        </is>
      </c>
    </row>
    <row r="17" ht="15" customHeight="1" s="32">
      <c r="A17" s="35" t="inlineStr">
        <is>
          <t>Cash &amp; Working Capital</t>
        </is>
      </c>
    </row>
    <row r="18" ht="15" customHeight="1" s="32">
      <c r="A18" s="38" t="inlineStr">
        <is>
          <t>RM cash on hand ($)</t>
        </is>
      </c>
      <c r="B18" s="42" t="n">
        <v>2200000</v>
      </c>
      <c r="C18" s="34" t="inlineStr">
        <is>
          <t>Westpac main + offset, ~Apr 2026</t>
        </is>
      </c>
    </row>
    <row r="19" ht="15" customHeight="1" s="32">
      <c r="A19" s="38" t="inlineStr">
        <is>
          <t>Unpaid invoice 471 — Mobivate Nov 2025 ($)</t>
        </is>
      </c>
      <c r="B19" s="42" t="n">
        <v>102672.44</v>
      </c>
      <c r="C19" s="34" t="inlineStr">
        <is>
          <t>Issued 3 Dec 2025, due 10 Dec 2025 — see EMAIL-045</t>
        </is>
      </c>
    </row>
    <row r="20" ht="15" customHeight="1" s="32">
      <c r="A20" s="38" t="inlineStr">
        <is>
          <t>Unpaid invoice 474 — Mobivate Dec 2025 ($)</t>
        </is>
      </c>
      <c r="B20" s="42" t="n">
        <v>16480.72</v>
      </c>
      <c r="C20" s="34" t="inlineStr">
        <is>
          <t>Issued 6 Jan 2026, due 13 Jan 2026 — see EMAIL-045</t>
        </is>
      </c>
    </row>
    <row r="21" ht="15" customHeight="1" s="32">
      <c r="A21" s="35" t="inlineStr">
        <is>
          <t>Mobivate Margin (account-of-profits anchor)</t>
        </is>
      </c>
    </row>
    <row r="22" ht="15" customHeight="1" s="32">
      <c r="A22" s="38" t="inlineStr">
        <is>
          <t>Mobivate gross monthly margin after RM fee — Brad's own statement ($/mo)</t>
        </is>
      </c>
      <c r="B22" s="42" t="n">
        <v>400000</v>
      </c>
      <c r="C22" s="34" t="inlineStr">
        <is>
          <t>Brad 13 May 2025: 'Mobivate/Marlau almost $100k worse off each month' at $500k RM fee → MBVT margin ~$400k/mo</t>
        </is>
      </c>
    </row>
    <row r="23" ht="15" customHeight="1" s="32">
      <c r="A23" s="38" t="inlineStr">
        <is>
          <t>Months of diversion to date (Sep 2024 → Apr 2026)</t>
        </is>
      </c>
      <c r="B23" s="44" t="n">
        <v>20</v>
      </c>
      <c r="C23" s="34" t="inlineStr">
        <is>
          <t>20 months</t>
        </is>
      </c>
    </row>
    <row r="24" ht="15" customHeight="1" s="32">
      <c r="A24" s="38" t="inlineStr">
        <is>
          <t>Forward months to project (litigation horizon)</t>
        </is>
      </c>
      <c r="B24" s="44" t="n">
        <v>12</v>
      </c>
    </row>
    <row r="25" ht="15" customHeight="1" s="32">
      <c r="A25" s="35" t="inlineStr">
        <is>
          <t>SBA Law 'Clawback' Theory — Reality Check</t>
        </is>
      </c>
    </row>
    <row r="26" ht="15" customHeight="1" s="32">
      <c r="A26" s="38" t="inlineStr">
        <is>
          <t>SBA Law / Brad alleged 'developer overcharge' ($)</t>
        </is>
      </c>
      <c r="B26" s="42" t="n">
        <v>1200000</v>
      </c>
      <c r="C26" s="34" t="inlineStr">
        <is>
          <t>Brad 29 Dec 2025 'Formal Notice' — see EMAIL-022</t>
        </is>
      </c>
    </row>
    <row r="27" ht="15" customHeight="1" s="32">
      <c r="A27" s="38" t="inlineStr">
        <is>
          <t>Actual SH gross pass-through per year ($)</t>
        </is>
      </c>
      <c r="B27" s="42" t="n">
        <v>150000</v>
      </c>
      <c r="C27" s="34" t="inlineStr">
        <is>
          <t>~$12.5k/mo developer fee</t>
        </is>
      </c>
    </row>
    <row r="28" ht="15" customHeight="1" s="32">
      <c r="A28" s="38" t="inlineStr">
        <is>
          <t>Arrangement years</t>
        </is>
      </c>
      <c r="B28" s="44" t="n">
        <v>7</v>
      </c>
      <c r="C28" s="34" t="inlineStr">
        <is>
          <t>2018–2025 inclusive</t>
        </is>
      </c>
    </row>
    <row r="29" ht="15" customHeight="1" s="32">
      <c r="A29" s="38" t="inlineStr">
        <is>
          <t>Actual SH retained margin over arrangement ($)</t>
        </is>
      </c>
      <c r="B29" s="42" t="n">
        <v>40000</v>
      </c>
      <c r="C29" s="34" t="inlineStr">
        <is>
          <t>developer paid market rate; SH net ~$5.7k/yr</t>
        </is>
      </c>
    </row>
  </sheetData>
  <mergeCells count="8">
    <mergeCell ref="A25:C25"/>
    <mergeCell ref="A4:C4"/>
    <mergeCell ref="A11:C11"/>
    <mergeCell ref="A1:C1"/>
    <mergeCell ref="A17:C17"/>
    <mergeCell ref="A21:C21"/>
    <mergeCell ref="A7:C7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31" min="1" max="1"/>
    <col width="16" customWidth="1" style="31" min="2" max="7"/>
    <col width="12" customWidth="1" style="31" min="8" max="8"/>
  </cols>
  <sheetData>
    <row r="1" ht="17.35" customHeight="1" s="32">
      <c r="A1" s="33" t="inlineStr">
        <is>
          <t>Raw Mobility — Historical Financial Year P&amp;L</t>
        </is>
      </c>
    </row>
    <row r="2" ht="15" customHeight="1" s="32">
      <c r="A2" s="34" t="inlineStr">
        <is>
          <t>Source: Saasu Multi-Year P&amp;L export, /Brad Dispute/Key Evidence/RM_MultiYear_PnL.csv</t>
        </is>
      </c>
    </row>
    <row r="4" ht="15" customHeight="1" s="32">
      <c r="A4" s="45" t="inlineStr">
        <is>
          <t>Financial Year</t>
        </is>
      </c>
      <c r="B4" s="45" t="inlineStr">
        <is>
          <t>Income</t>
        </is>
      </c>
      <c r="C4" s="45" t="inlineStr">
        <is>
          <t>Cost of Sales</t>
        </is>
      </c>
      <c r="D4" s="45" t="inlineStr">
        <is>
          <t>Expenses</t>
        </is>
      </c>
      <c r="E4" s="45" t="inlineStr">
        <is>
          <t>Other Income</t>
        </is>
      </c>
      <c r="F4" s="45" t="inlineStr">
        <is>
          <t>Other Expenses</t>
        </is>
      </c>
      <c r="G4" s="45" t="inlineStr">
        <is>
          <t>Net Profit</t>
        </is>
      </c>
      <c r="H4" s="45" t="inlineStr">
        <is>
          <t>NP Margin</t>
        </is>
      </c>
    </row>
    <row r="5" ht="15" customHeight="1" s="32">
      <c r="A5" s="46" t="inlineStr">
        <is>
          <t>2013-2014</t>
        </is>
      </c>
      <c r="B5" s="42" t="n">
        <v>277277</v>
      </c>
      <c r="C5" s="42" t="n">
        <v>0</v>
      </c>
      <c r="D5" s="42" t="n">
        <v>215792</v>
      </c>
      <c r="E5" s="42" t="n">
        <v>1197</v>
      </c>
      <c r="F5" s="42" t="n">
        <v>17898</v>
      </c>
      <c r="G5" s="42" t="n">
        <v>44784</v>
      </c>
      <c r="H5" s="47">
        <f>G5/B5</f>
        <v/>
      </c>
    </row>
    <row r="6" ht="15" customHeight="1" s="32">
      <c r="A6" s="46" t="inlineStr">
        <is>
          <t>2014-2015</t>
        </is>
      </c>
      <c r="B6" s="42" t="n">
        <v>368910.18</v>
      </c>
      <c r="C6" s="42" t="n">
        <v>0</v>
      </c>
      <c r="D6" s="42" t="n">
        <v>247051.66</v>
      </c>
      <c r="E6" s="42" t="n">
        <v>1866.03</v>
      </c>
      <c r="F6" s="42" t="n">
        <v>37118</v>
      </c>
      <c r="G6" s="42" t="n">
        <v>86606.55</v>
      </c>
      <c r="H6" s="47">
        <f>G6/B6</f>
        <v/>
      </c>
    </row>
    <row r="7" ht="15" customHeight="1" s="32">
      <c r="A7" s="46" t="inlineStr">
        <is>
          <t>2015-2016</t>
        </is>
      </c>
      <c r="B7" s="42" t="n">
        <v>461617.4</v>
      </c>
      <c r="C7" s="42" t="n">
        <v>0</v>
      </c>
      <c r="D7" s="42" t="n">
        <v>288967.28</v>
      </c>
      <c r="E7" s="42" t="n">
        <v>6462.76</v>
      </c>
      <c r="F7" s="42" t="n">
        <v>51047</v>
      </c>
      <c r="G7" s="42" t="n">
        <v>128065.88</v>
      </c>
      <c r="H7" s="47">
        <f>G7/B7</f>
        <v/>
      </c>
    </row>
    <row r="8" ht="15" customHeight="1" s="32">
      <c r="A8" s="46" t="inlineStr">
        <is>
          <t>2016-2017</t>
        </is>
      </c>
      <c r="B8" s="42" t="n">
        <v>584691.65</v>
      </c>
      <c r="C8" s="42" t="n">
        <v>0</v>
      </c>
      <c r="D8" s="42" t="n">
        <v>301222.81</v>
      </c>
      <c r="E8" s="42" t="n">
        <v>831.5</v>
      </c>
      <c r="F8" s="42" t="n">
        <v>141875</v>
      </c>
      <c r="G8" s="42" t="n">
        <v>142425.34</v>
      </c>
      <c r="H8" s="47">
        <f>G8/B8</f>
        <v/>
      </c>
    </row>
    <row r="9" ht="15" customHeight="1" s="32">
      <c r="A9" s="46" t="inlineStr">
        <is>
          <t>2017-2018</t>
        </is>
      </c>
      <c r="B9" s="42" t="n">
        <v>643954.9399999999</v>
      </c>
      <c r="C9" s="42" t="n">
        <v>0</v>
      </c>
      <c r="D9" s="42" t="n">
        <v>307749.17</v>
      </c>
      <c r="E9" s="42" t="n">
        <v>918.25</v>
      </c>
      <c r="F9" s="42" t="n">
        <v>92709.10000000001</v>
      </c>
      <c r="G9" s="42" t="n">
        <v>244414.92</v>
      </c>
      <c r="H9" s="47">
        <f>G9/B9</f>
        <v/>
      </c>
    </row>
    <row r="10" ht="15" customHeight="1" s="32">
      <c r="A10" s="46" t="inlineStr">
        <is>
          <t>2018-2019</t>
        </is>
      </c>
      <c r="B10" s="42" t="n">
        <v>614008.15</v>
      </c>
      <c r="C10" s="42" t="n">
        <v>0</v>
      </c>
      <c r="D10" s="42" t="n">
        <v>429146.45</v>
      </c>
      <c r="E10" s="42" t="n">
        <v>1230.83</v>
      </c>
      <c r="F10" s="42" t="n">
        <v>51174.2</v>
      </c>
      <c r="G10" s="42" t="n">
        <v>134918.33</v>
      </c>
      <c r="H10" s="47">
        <f>G10/B10</f>
        <v/>
      </c>
    </row>
    <row r="11" ht="15" customHeight="1" s="32">
      <c r="A11" s="46" t="inlineStr">
        <is>
          <t>2019-2020</t>
        </is>
      </c>
      <c r="B11" s="42" t="n">
        <v>638787.28</v>
      </c>
      <c r="C11" s="42" t="n">
        <v>0</v>
      </c>
      <c r="D11" s="42" t="n">
        <v>366171.64</v>
      </c>
      <c r="E11" s="42" t="n">
        <v>10326.29</v>
      </c>
      <c r="F11" s="42" t="n">
        <v>75058.78</v>
      </c>
      <c r="G11" s="42" t="n">
        <v>207883.15</v>
      </c>
      <c r="H11" s="47">
        <f>G11/B11</f>
        <v/>
      </c>
    </row>
    <row r="12" ht="15" customHeight="1" s="32">
      <c r="A12" s="46" t="inlineStr">
        <is>
          <t>2020-2021</t>
        </is>
      </c>
      <c r="B12" s="42" t="n">
        <v>795013.8</v>
      </c>
      <c r="C12" s="42" t="n">
        <v>0</v>
      </c>
      <c r="D12" s="42" t="n">
        <v>298685.52</v>
      </c>
      <c r="E12" s="42" t="n">
        <v>10118.77</v>
      </c>
      <c r="F12" s="42" t="n">
        <v>129076.74</v>
      </c>
      <c r="G12" s="42" t="n">
        <v>377370.31</v>
      </c>
      <c r="H12" s="47">
        <f>G12/B12</f>
        <v/>
      </c>
    </row>
    <row r="13" ht="15" customHeight="1" s="32">
      <c r="A13" s="46" t="inlineStr">
        <is>
          <t>2021-2022</t>
        </is>
      </c>
      <c r="B13" s="42" t="n">
        <v>1181561.41</v>
      </c>
      <c r="C13" s="42" t="n">
        <v>0</v>
      </c>
      <c r="D13" s="42" t="n">
        <v>441982.42</v>
      </c>
      <c r="E13" s="42" t="n">
        <v>69.28</v>
      </c>
      <c r="F13" s="42" t="n">
        <v>184912.25</v>
      </c>
      <c r="G13" s="42" t="n">
        <v>554736.02</v>
      </c>
      <c r="H13" s="47">
        <f>G13/B13</f>
        <v/>
      </c>
    </row>
    <row r="14" ht="15" customHeight="1" s="32">
      <c r="A14" s="46" t="inlineStr">
        <is>
          <t>2022-2023</t>
        </is>
      </c>
      <c r="B14" s="42" t="n">
        <v>1300152.98</v>
      </c>
      <c r="C14" s="42" t="n">
        <v>0</v>
      </c>
      <c r="D14" s="42" t="n">
        <v>539059.75</v>
      </c>
      <c r="E14" s="42" t="n">
        <v>3103.44</v>
      </c>
      <c r="F14" s="42" t="n">
        <v>186727</v>
      </c>
      <c r="G14" s="42" t="n">
        <v>577469.67</v>
      </c>
      <c r="H14" s="47">
        <f>G14/B14</f>
        <v/>
      </c>
    </row>
    <row r="15" ht="15" customHeight="1" s="32">
      <c r="A15" s="46" t="inlineStr">
        <is>
          <t>2023-2024</t>
        </is>
      </c>
      <c r="B15" s="42" t="n">
        <v>1404622.27</v>
      </c>
      <c r="C15" s="42" t="n">
        <v>0</v>
      </c>
      <c r="D15" s="42" t="n">
        <v>566375.04</v>
      </c>
      <c r="E15" s="42" t="n">
        <v>4236.25</v>
      </c>
      <c r="F15" s="42" t="n">
        <v>210620.75</v>
      </c>
      <c r="G15" s="42" t="n">
        <v>631862.73</v>
      </c>
      <c r="H15" s="47">
        <f>G15/B15</f>
        <v/>
      </c>
    </row>
    <row r="16" ht="15" customHeight="1" s="32">
      <c r="A16" s="46" t="inlineStr">
        <is>
          <t>2024-2025</t>
        </is>
      </c>
      <c r="B16" s="42" t="n">
        <v>3901824.8</v>
      </c>
      <c r="C16" s="42" t="n">
        <v>0</v>
      </c>
      <c r="D16" s="42" t="n">
        <v>536057.8</v>
      </c>
      <c r="E16" s="42" t="n">
        <v>7621.53</v>
      </c>
      <c r="F16" s="42" t="n">
        <v>0</v>
      </c>
      <c r="G16" s="42" t="n">
        <v>3373388.53</v>
      </c>
      <c r="H16" s="47">
        <f>G16/B16</f>
        <v/>
      </c>
    </row>
    <row r="17" ht="15" customHeight="1" s="32">
      <c r="A17" s="46" t="inlineStr">
        <is>
          <t>2025-2026 (partial Jul-Dec)</t>
        </is>
      </c>
      <c r="B17" s="42" t="n">
        <v>1446246.93</v>
      </c>
      <c r="C17" s="42" t="n">
        <v>0</v>
      </c>
      <c r="D17" s="42" t="n">
        <v>200488.5</v>
      </c>
      <c r="E17" s="42" t="n">
        <v>5155.36</v>
      </c>
      <c r="F17" s="42" t="n">
        <v>0</v>
      </c>
      <c r="G17" s="42" t="n">
        <v>1250913.79</v>
      </c>
      <c r="H17" s="47">
        <f>G17/B17</f>
        <v/>
      </c>
    </row>
    <row r="20" ht="15" customHeight="1" s="32">
      <c r="A20" s="35" t="inlineStr">
        <is>
          <t>Growth Analysis</t>
        </is>
      </c>
    </row>
    <row r="21" ht="15" customHeight="1" s="32">
      <c r="A21" s="36" t="inlineStr">
        <is>
          <t>FY24→FY25 revenue growth</t>
        </is>
      </c>
      <c r="B21" s="47">
        <f>B16/B15-1</f>
        <v/>
      </c>
    </row>
    <row r="22" ht="15" customHeight="1" s="32">
      <c r="A22" s="36" t="inlineStr">
        <is>
          <t>FY24→FY25 net profit growth</t>
        </is>
      </c>
      <c r="B22" s="47">
        <f>G16/G15-1</f>
        <v/>
      </c>
    </row>
    <row r="23" ht="15" customHeight="1" s="32">
      <c r="A23" s="36" t="inlineStr">
        <is>
          <t>FY25 net profit margin</t>
        </is>
      </c>
      <c r="B23" s="47">
        <f>G16/B16</f>
        <v/>
      </c>
    </row>
  </sheetData>
  <mergeCells count="2">
    <mergeCell ref="A2:H2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T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31" min="1" max="1"/>
    <col width="13" customWidth="1" style="31" min="2" max="19"/>
  </cols>
  <sheetData>
    <row r="1" ht="17.35" customHeight="1" s="32">
      <c r="A1" s="33" t="inlineStr">
        <is>
          <t>Raw Mobility — Monthly P&amp;L Jul-2024 to Dec-2025</t>
        </is>
      </c>
    </row>
    <row r="2" ht="15" customHeight="1" s="32">
      <c r="A2" s="34" t="inlineStr">
        <is>
          <t>Source: Saasu Multi-Month P&amp;L, /Brad Dispute/Key Evidence/RM_MultiMonth_PnL.csv</t>
        </is>
      </c>
    </row>
    <row r="4" ht="15" customHeight="1" s="32">
      <c r="A4" s="48" t="inlineStr">
        <is>
          <t>Month</t>
        </is>
      </c>
      <c r="B4" s="45" t="inlineStr">
        <is>
          <t>Jul-2024</t>
        </is>
      </c>
      <c r="C4" s="45" t="inlineStr">
        <is>
          <t>Aug-2024</t>
        </is>
      </c>
      <c r="D4" s="45" t="inlineStr">
        <is>
          <t>Sep-2024</t>
        </is>
      </c>
      <c r="E4" s="45" t="inlineStr">
        <is>
          <t>Oct-2024</t>
        </is>
      </c>
      <c r="F4" s="45" t="inlineStr">
        <is>
          <t>Nov-2024</t>
        </is>
      </c>
      <c r="G4" s="45" t="inlineStr">
        <is>
          <t>Dec-2024</t>
        </is>
      </c>
      <c r="H4" s="45" t="inlineStr">
        <is>
          <t>Jan-2025</t>
        </is>
      </c>
      <c r="I4" s="45" t="inlineStr">
        <is>
          <t>Feb-2025</t>
        </is>
      </c>
      <c r="J4" s="45" t="inlineStr">
        <is>
          <t>Mar-2025</t>
        </is>
      </c>
      <c r="K4" s="45" t="inlineStr">
        <is>
          <t>Apr-2025</t>
        </is>
      </c>
      <c r="L4" s="45" t="inlineStr">
        <is>
          <t>May-2025</t>
        </is>
      </c>
      <c r="M4" s="45" t="inlineStr">
        <is>
          <t>Jun-2025</t>
        </is>
      </c>
      <c r="N4" s="45" t="inlineStr">
        <is>
          <t>Jul-2025</t>
        </is>
      </c>
      <c r="O4" s="45" t="inlineStr">
        <is>
          <t>Aug-2025</t>
        </is>
      </c>
      <c r="P4" s="45" t="inlineStr">
        <is>
          <t>Sep-2025</t>
        </is>
      </c>
      <c r="Q4" s="45" t="inlineStr">
        <is>
          <t>Oct-2025</t>
        </is>
      </c>
      <c r="R4" s="45" t="inlineStr">
        <is>
          <t>Nov-2025</t>
        </is>
      </c>
      <c r="S4" s="45" t="inlineStr">
        <is>
          <t>Dec-2025</t>
        </is>
      </c>
    </row>
    <row r="5" ht="15" customHeight="1" s="32">
      <c r="A5" s="36" t="inlineStr">
        <is>
          <t>Sales Revenue ($)</t>
        </is>
      </c>
      <c r="B5" s="42" t="n">
        <v>125756.03</v>
      </c>
      <c r="C5" s="42" t="n">
        <v>119304.52</v>
      </c>
      <c r="D5" s="42" t="n">
        <v>116188.86</v>
      </c>
      <c r="E5" s="42" t="n">
        <v>156244.3</v>
      </c>
      <c r="F5" s="42" t="n">
        <v>227967.65</v>
      </c>
      <c r="G5" s="42" t="n">
        <v>372404.39</v>
      </c>
      <c r="H5" s="42" t="n">
        <v>374022.51</v>
      </c>
      <c r="I5" s="42" t="n">
        <v>384165.44</v>
      </c>
      <c r="J5" s="42" t="n">
        <v>460202.87</v>
      </c>
      <c r="K5" s="42" t="n">
        <v>500668.96</v>
      </c>
      <c r="L5" s="42" t="n">
        <v>488580.67</v>
      </c>
      <c r="M5" s="42" t="n">
        <v>576318.6</v>
      </c>
      <c r="N5" s="42" t="n">
        <v>559831.52</v>
      </c>
      <c r="O5" s="42" t="n">
        <v>361029.56</v>
      </c>
      <c r="P5" s="42" t="n">
        <v>138244.99</v>
      </c>
      <c r="Q5" s="42" t="n">
        <v>132312.34</v>
      </c>
      <c r="R5" s="42" t="n">
        <v>121462.8</v>
      </c>
      <c r="S5" s="42" t="n">
        <v>106313.12</v>
      </c>
    </row>
    <row r="6" ht="15" customHeight="1" s="32">
      <c r="A6" s="36" t="inlineStr">
        <is>
          <t>Total Expenses ($)</t>
        </is>
      </c>
      <c r="B6" s="42" t="n">
        <v>41898.58</v>
      </c>
      <c r="C6" s="42" t="n">
        <v>50132.85</v>
      </c>
      <c r="D6" s="42" t="n">
        <v>40301.32</v>
      </c>
      <c r="E6" s="42" t="n">
        <v>45962.75</v>
      </c>
      <c r="F6" s="42" t="n">
        <v>50141.32</v>
      </c>
      <c r="G6" s="42" t="n">
        <v>41755.93</v>
      </c>
      <c r="H6" s="42" t="n">
        <v>44081.37</v>
      </c>
      <c r="I6" s="42" t="n">
        <v>42374.38</v>
      </c>
      <c r="J6" s="42" t="n">
        <v>43261.87</v>
      </c>
      <c r="K6" s="42" t="n">
        <v>47699.92</v>
      </c>
      <c r="L6" s="42" t="n">
        <v>44171.77</v>
      </c>
      <c r="M6" s="42" t="n">
        <v>44275.74</v>
      </c>
      <c r="N6" s="42" t="n">
        <v>47140.2</v>
      </c>
      <c r="O6" s="42" t="n">
        <v>30121.63</v>
      </c>
      <c r="P6" s="42" t="n">
        <v>27713.54</v>
      </c>
      <c r="Q6" s="42" t="n">
        <v>26598.67</v>
      </c>
      <c r="R6" s="42" t="n">
        <v>27729.84</v>
      </c>
      <c r="S6" s="42" t="n">
        <v>26219.09</v>
      </c>
    </row>
    <row r="7" ht="15" customHeight="1" s="32">
      <c r="A7" s="36" t="inlineStr">
        <is>
          <t xml:space="preserve">  of which OMLF ($)</t>
        </is>
      </c>
      <c r="B7" s="42" t="n">
        <v>27767.76</v>
      </c>
      <c r="C7" s="42" t="n">
        <v>27612.38</v>
      </c>
      <c r="D7" s="42" t="n">
        <v>27894.68</v>
      </c>
      <c r="E7" s="42" t="n">
        <v>28256.31</v>
      </c>
      <c r="F7" s="42" t="n">
        <v>27902.2</v>
      </c>
      <c r="G7" s="42" t="n">
        <v>28096.22</v>
      </c>
      <c r="H7" s="42" t="n">
        <v>30703.33</v>
      </c>
      <c r="I7" s="42" t="n">
        <v>28972.9</v>
      </c>
      <c r="J7" s="42" t="n">
        <v>29628</v>
      </c>
      <c r="K7" s="42" t="n">
        <v>30399.53</v>
      </c>
      <c r="L7" s="42" t="n">
        <v>30766.74</v>
      </c>
      <c r="M7" s="42" t="n">
        <v>30703.33</v>
      </c>
      <c r="N7" s="42" t="n">
        <v>30057.97</v>
      </c>
      <c r="O7" s="42" t="n">
        <v>17054.24</v>
      </c>
      <c r="P7" s="42" t="n">
        <v>16635.19</v>
      </c>
      <c r="Q7" s="42" t="n">
        <v>16303.95</v>
      </c>
      <c r="R7" s="42" t="n">
        <v>16289.5</v>
      </c>
      <c r="S7" s="42" t="n">
        <v>17520.04</v>
      </c>
    </row>
    <row r="8" ht="15" customHeight="1" s="32">
      <c r="A8" s="36" t="inlineStr">
        <is>
          <t>Net Profit ($)</t>
        </is>
      </c>
      <c r="B8" s="42" t="n">
        <v>84080.00999999999</v>
      </c>
      <c r="C8" s="42" t="n">
        <v>69374.24000000001</v>
      </c>
      <c r="D8" s="42" t="n">
        <v>76097.09</v>
      </c>
      <c r="E8" s="42" t="n">
        <v>110491.34</v>
      </c>
      <c r="F8" s="42" t="n">
        <v>178215.98</v>
      </c>
      <c r="G8" s="42" t="n">
        <v>331236.83</v>
      </c>
      <c r="H8" s="42" t="n">
        <v>330599.92</v>
      </c>
      <c r="I8" s="42" t="n">
        <v>342785.89</v>
      </c>
      <c r="J8" s="42" t="n">
        <v>418176.84</v>
      </c>
      <c r="K8" s="42" t="n">
        <v>454166.08</v>
      </c>
      <c r="L8" s="42" t="n">
        <v>445606.98</v>
      </c>
      <c r="M8" s="42" t="n">
        <v>532557.33</v>
      </c>
      <c r="N8" s="42" t="n">
        <v>513283.02</v>
      </c>
      <c r="O8" s="42" t="n">
        <v>331668.33</v>
      </c>
      <c r="P8" s="42" t="n">
        <v>111238.16</v>
      </c>
      <c r="Q8" s="42" t="n">
        <v>106461.44</v>
      </c>
      <c r="R8" s="42" t="n">
        <v>94455.39</v>
      </c>
      <c r="S8" s="42" t="n">
        <v>80945.75999999999</v>
      </c>
    </row>
    <row r="10" ht="15" customHeight="1" s="32">
      <c r="A10" s="36" t="inlineStr">
        <is>
          <t>Annualised run rate (×12) ($)</t>
        </is>
      </c>
      <c r="B10" s="49">
        <f>B8*12</f>
        <v/>
      </c>
      <c r="C10" s="49">
        <f>C8*12</f>
        <v/>
      </c>
      <c r="D10" s="49">
        <f>D8*12</f>
        <v/>
      </c>
      <c r="E10" s="49">
        <f>E8*12</f>
        <v/>
      </c>
      <c r="F10" s="49">
        <f>F8*12</f>
        <v/>
      </c>
      <c r="G10" s="49">
        <f>G8*12</f>
        <v/>
      </c>
      <c r="H10" s="49">
        <f>H8*12</f>
        <v/>
      </c>
      <c r="I10" s="49">
        <f>I8*12</f>
        <v/>
      </c>
      <c r="J10" s="49">
        <f>J8*12</f>
        <v/>
      </c>
      <c r="K10" s="49">
        <f>K8*12</f>
        <v/>
      </c>
      <c r="L10" s="49">
        <f>L8*12</f>
        <v/>
      </c>
      <c r="M10" s="49">
        <f>M8*12</f>
        <v/>
      </c>
      <c r="N10" s="49">
        <f>N8*12</f>
        <v/>
      </c>
      <c r="O10" s="49">
        <f>O8*12</f>
        <v/>
      </c>
      <c r="P10" s="49">
        <f>P8*12</f>
        <v/>
      </c>
      <c r="Q10" s="49">
        <f>Q8*12</f>
        <v/>
      </c>
      <c r="R10" s="49">
        <f>R8*12</f>
        <v/>
      </c>
      <c r="S10" s="49">
        <f>S8*12</f>
        <v/>
      </c>
    </row>
    <row r="11" ht="15" customHeight="1" s="32">
      <c r="A11" s="36" t="inlineStr">
        <is>
          <t>Asaf 18% of run rate ($)</t>
        </is>
      </c>
      <c r="B11" s="49">
        <f>B10*Assumptions!$B$5</f>
        <v/>
      </c>
      <c r="C11" s="49">
        <f>C10*Assumptions!$B$5</f>
        <v/>
      </c>
      <c r="D11" s="49">
        <f>D10*Assumptions!$B$5</f>
        <v/>
      </c>
      <c r="E11" s="49">
        <f>E10*Assumptions!$B$5</f>
        <v/>
      </c>
      <c r="F11" s="49">
        <f>F10*Assumptions!$B$5</f>
        <v/>
      </c>
      <c r="G11" s="49">
        <f>G10*Assumptions!$B$5</f>
        <v/>
      </c>
      <c r="H11" s="49">
        <f>H10*Assumptions!$B$5</f>
        <v/>
      </c>
      <c r="I11" s="49">
        <f>I10*Assumptions!$B$5</f>
        <v/>
      </c>
      <c r="J11" s="49">
        <f>J10*Assumptions!$B$5</f>
        <v/>
      </c>
      <c r="K11" s="49">
        <f>K10*Assumptions!$B$5</f>
        <v/>
      </c>
      <c r="L11" s="49">
        <f>L10*Assumptions!$B$5</f>
        <v/>
      </c>
      <c r="M11" s="49">
        <f>M10*Assumptions!$B$5</f>
        <v/>
      </c>
      <c r="N11" s="49">
        <f>N10*Assumptions!$B$5</f>
        <v/>
      </c>
      <c r="O11" s="49">
        <f>O10*Assumptions!$B$5</f>
        <v/>
      </c>
      <c r="P11" s="49">
        <f>P10*Assumptions!$B$5</f>
        <v/>
      </c>
      <c r="Q11" s="49">
        <f>Q10*Assumptions!$B$5</f>
        <v/>
      </c>
      <c r="R11" s="49">
        <f>R10*Assumptions!$B$5</f>
        <v/>
      </c>
      <c r="S11" s="49">
        <f>S10*Assumptions!$B$5</f>
        <v/>
      </c>
    </row>
    <row r="13" ht="15" customHeight="1" s="32">
      <c r="A13" s="36" t="inlineStr">
        <is>
          <t>Cumulative net profit ($)</t>
        </is>
      </c>
      <c r="B13" s="49">
        <f>B8</f>
        <v/>
      </c>
      <c r="C13" s="49">
        <f>B13+C8</f>
        <v/>
      </c>
      <c r="D13" s="49">
        <f>C13+D8</f>
        <v/>
      </c>
      <c r="E13" s="49">
        <f>D13+E8</f>
        <v/>
      </c>
      <c r="F13" s="49">
        <f>E13+F8</f>
        <v/>
      </c>
      <c r="G13" s="49">
        <f>F13+G8</f>
        <v/>
      </c>
      <c r="H13" s="49">
        <f>G13+H8</f>
        <v/>
      </c>
      <c r="I13" s="49">
        <f>H13+I8</f>
        <v/>
      </c>
      <c r="J13" s="49">
        <f>I13+J8</f>
        <v/>
      </c>
      <c r="K13" s="49">
        <f>J13+K8</f>
        <v/>
      </c>
      <c r="L13" s="49">
        <f>K13+L8</f>
        <v/>
      </c>
      <c r="M13" s="49">
        <f>L13+M8</f>
        <v/>
      </c>
      <c r="N13" s="49">
        <f>M13+N8</f>
        <v/>
      </c>
      <c r="O13" s="49">
        <f>N13+O8</f>
        <v/>
      </c>
      <c r="P13" s="49">
        <f>O13+P8</f>
        <v/>
      </c>
      <c r="Q13" s="49">
        <f>P13+Q8</f>
        <v/>
      </c>
      <c r="R13" s="49">
        <f>Q13+R8</f>
        <v/>
      </c>
      <c r="S13" s="49">
        <f>R13+S8</f>
        <v/>
      </c>
    </row>
    <row r="15" ht="15" customHeight="1" s="32">
      <c r="A15" s="50" t="inlineStr">
        <is>
          <t>Peak month (Jun-2025) net profit</t>
        </is>
      </c>
      <c r="B15" s="49">
        <f>M8</f>
        <v/>
      </c>
    </row>
    <row r="16" ht="15" customHeight="1" s="32">
      <c r="A16" s="50" t="inlineStr">
        <is>
          <t>Peak month annualised</t>
        </is>
      </c>
      <c r="B16" s="49">
        <f>M8*12</f>
        <v/>
      </c>
    </row>
    <row r="17" ht="15" customHeight="1" s="32">
      <c r="A17" s="50" t="inlineStr">
        <is>
          <t>18-month total Jul-24 → Dec-25</t>
        </is>
      </c>
      <c r="B17" s="49">
        <f>SUM(B8:S8)</f>
        <v/>
      </c>
    </row>
    <row r="18" ht="15" customHeight="1" s="32">
      <c r="A18" s="50" t="inlineStr">
        <is>
          <t>Asaf 18% of 18-month total</t>
        </is>
      </c>
      <c r="B18" s="49">
        <f>B17*Assumptions!$B$5</f>
        <v/>
      </c>
    </row>
  </sheetData>
  <mergeCells count="2">
    <mergeCell ref="A1:T1"/>
    <mergeCell ref="A2:T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31" min="1" max="1"/>
    <col width="18" customWidth="1" style="31" min="2" max="6"/>
  </cols>
  <sheetData>
    <row r="1" ht="17.35" customHeight="1" s="32">
      <c r="A1" s="33" t="inlineStr">
        <is>
          <t>Raw Mobility — Enterprise Valuation (multiple cases)</t>
        </is>
      </c>
    </row>
    <row r="2" ht="15" customHeight="1" s="32">
      <c r="A2" s="34" t="inlineStr">
        <is>
          <t>Capitalised-earnings approach. Net profit × multiple + cash − debt = equity value.</t>
        </is>
      </c>
    </row>
    <row r="4" ht="15" customHeight="1" s="32">
      <c r="A4" s="45" t="inlineStr">
        <is>
          <t>Case</t>
        </is>
      </c>
      <c r="B4" s="45" t="inlineStr">
        <is>
          <t>Earnings Basis</t>
        </is>
      </c>
      <c r="C4" s="45" t="inlineStr">
        <is>
          <t>Net Profit ($)</t>
        </is>
      </c>
      <c r="D4" s="45" t="inlineStr">
        <is>
          <t>Multiple</t>
        </is>
      </c>
      <c r="E4" s="45" t="inlineStr">
        <is>
          <t>Equity Value 100% ($)</t>
        </is>
      </c>
      <c r="F4" s="45" t="inlineStr">
        <is>
          <t>Asaf 18% ($)</t>
        </is>
      </c>
    </row>
    <row r="5" ht="15" customHeight="1" s="32">
      <c r="A5" s="36" t="inlineStr">
        <is>
          <t>Conservative</t>
        </is>
      </c>
      <c r="B5" s="38" t="inlineStr">
        <is>
          <t>FY24-25 actual</t>
        </is>
      </c>
      <c r="C5" s="51">
        <f>Assumptions!$B$12</f>
        <v/>
      </c>
      <c r="D5" s="52">
        <f>Assumptions!$B$8</f>
        <v/>
      </c>
      <c r="E5" s="49">
        <f>C5*D5+Assumptions!$B$18</f>
        <v/>
      </c>
      <c r="F5" s="49">
        <f>E5*Assumptions!$B$5</f>
        <v/>
      </c>
    </row>
    <row r="6" ht="15" customHeight="1" s="32">
      <c r="A6" s="36" t="inlineStr">
        <is>
          <t>Mid</t>
        </is>
      </c>
      <c r="B6" s="38" t="inlineStr">
        <is>
          <t>FY24-25 actual</t>
        </is>
      </c>
      <c r="C6" s="51">
        <f>Assumptions!$B$12</f>
        <v/>
      </c>
      <c r="D6" s="52">
        <f>Assumptions!$B$9</f>
        <v/>
      </c>
      <c r="E6" s="49">
        <f>C6*D6+Assumptions!$B$18</f>
        <v/>
      </c>
      <c r="F6" s="49">
        <f>E6*Assumptions!$B$5</f>
        <v/>
      </c>
    </row>
    <row r="7" ht="15" customHeight="1" s="32">
      <c r="A7" s="36" t="inlineStr">
        <is>
          <t>High</t>
        </is>
      </c>
      <c r="B7" s="38" t="inlineStr">
        <is>
          <t>FY24-25 actual</t>
        </is>
      </c>
      <c r="C7" s="51">
        <f>Assumptions!$B$12</f>
        <v/>
      </c>
      <c r="D7" s="52">
        <f>Assumptions!$B$10</f>
        <v/>
      </c>
      <c r="E7" s="49">
        <f>C7*D7+Assumptions!$B$18</f>
        <v/>
      </c>
      <c r="F7" s="49">
        <f>E7*Assumptions!$B$5</f>
        <v/>
      </c>
    </row>
    <row r="8" ht="15" customHeight="1" s="32">
      <c r="A8" s="36" t="inlineStr">
        <is>
          <t>Conservative — peak</t>
        </is>
      </c>
      <c r="B8" s="38" t="inlineStr">
        <is>
          <t>Jun-25 peak ×12</t>
        </is>
      </c>
      <c r="C8" s="51">
        <f>Assumptions!$B$13*12</f>
        <v/>
      </c>
      <c r="D8" s="52">
        <f>Assumptions!$B$8</f>
        <v/>
      </c>
      <c r="E8" s="49">
        <f>C8*D8+Assumptions!$B$18</f>
        <v/>
      </c>
      <c r="F8" s="49">
        <f>E8*Assumptions!$B$5</f>
        <v/>
      </c>
    </row>
    <row r="9" ht="15" customHeight="1" s="32">
      <c r="A9" s="36" t="inlineStr">
        <is>
          <t>Mid — peak</t>
        </is>
      </c>
      <c r="B9" s="38" t="inlineStr">
        <is>
          <t>Jun-25 peak ×12</t>
        </is>
      </c>
      <c r="C9" s="51">
        <f>Assumptions!$B$13*12</f>
        <v/>
      </c>
      <c r="D9" s="52">
        <f>Assumptions!$B$9</f>
        <v/>
      </c>
      <c r="E9" s="49">
        <f>C9*D9+Assumptions!$B$18</f>
        <v/>
      </c>
      <c r="F9" s="49">
        <f>E9*Assumptions!$B$5</f>
        <v/>
      </c>
    </row>
    <row r="10" ht="15" customHeight="1" s="32">
      <c r="A10" s="36" t="inlineStr">
        <is>
          <t>High — peak</t>
        </is>
      </c>
      <c r="B10" s="38" t="inlineStr">
        <is>
          <t>Jun-25 peak ×12</t>
        </is>
      </c>
      <c r="C10" s="51">
        <f>Assumptions!$B$13*12</f>
        <v/>
      </c>
      <c r="D10" s="52">
        <f>Assumptions!$B$10</f>
        <v/>
      </c>
      <c r="E10" s="49">
        <f>C10*D10+Assumptions!$B$18</f>
        <v/>
      </c>
      <c r="F10" s="49">
        <f>E10*Assumptions!$B$5</f>
        <v/>
      </c>
    </row>
    <row r="11" ht="15" customHeight="1" s="32">
      <c r="A11" s="36" t="inlineStr">
        <is>
          <t>Brad's own baseline</t>
        </is>
      </c>
      <c r="B11" s="38" t="inlineStr">
        <is>
          <t>Brad MBVT-RWM ×12</t>
        </is>
      </c>
      <c r="C11" s="51">
        <f>Assumptions!$B$15*12</f>
        <v/>
      </c>
      <c r="D11" s="52">
        <f>Assumptions!$B$9</f>
        <v/>
      </c>
      <c r="E11" s="49">
        <f>C11*D11+Assumptions!$B$18</f>
        <v/>
      </c>
      <c r="F11" s="49">
        <f>E11*Assumptions!$B$5</f>
        <v/>
      </c>
    </row>
    <row r="12">
      <c r="A12" s="53" t="inlineStr">
        <is>
          <t>Weighted avg — conservative</t>
        </is>
      </c>
      <c r="B12" s="54" t="inlineStr">
        <is>
          <t>50% FY24-25 + 50% Jun-25×12</t>
        </is>
      </c>
      <c r="C12" s="55">
        <f>(Assumptions!$B$12 + Assumptions!$B$13*12)/2</f>
        <v/>
      </c>
      <c r="D12" s="56">
        <f>Assumptions!$B$8</f>
        <v/>
      </c>
      <c r="E12" s="57">
        <f>C12*D12+Assumptions!$B$18</f>
        <v/>
      </c>
      <c r="F12" s="57">
        <f>E12*Assumptions!$B$5</f>
        <v/>
      </c>
    </row>
    <row r="13">
      <c r="A13" s="53" t="inlineStr">
        <is>
          <t>Weighted avg — mid</t>
        </is>
      </c>
      <c r="B13" s="54" t="inlineStr">
        <is>
          <t>50% FY24-25 + 50% Jun-25×12</t>
        </is>
      </c>
      <c r="C13" s="55">
        <f>(Assumptions!$B$12 + Assumptions!$B$13*12)/2</f>
        <v/>
      </c>
      <c r="D13" s="56">
        <f>Assumptions!$B$9</f>
        <v/>
      </c>
      <c r="E13" s="57">
        <f>C13*D13+Assumptions!$B$18</f>
        <v/>
      </c>
      <c r="F13" s="57">
        <f>E13*Assumptions!$B$5</f>
        <v/>
      </c>
    </row>
    <row r="14" ht="15" customHeight="1" s="32">
      <c r="A14" s="53" t="inlineStr">
        <is>
          <t>Weighted avg — high</t>
        </is>
      </c>
      <c r="B14" s="54" t="inlineStr">
        <is>
          <t>50% FY24-25 + 50% Jun-25×12</t>
        </is>
      </c>
      <c r="C14" s="55">
        <f>(Assumptions!$B$12 + Assumptions!$B$13*12)/2</f>
        <v/>
      </c>
      <c r="D14" s="56">
        <f>Assumptions!$B$10</f>
        <v/>
      </c>
      <c r="E14" s="57">
        <f>C14*D14+Assumptions!$B$18</f>
        <v/>
      </c>
      <c r="F14" s="57">
        <f>E14*Assumptions!$B$5</f>
        <v/>
      </c>
    </row>
    <row r="15" ht="15" customHeight="1" s="32"/>
    <row r="16" ht="15" customHeight="1" s="32"/>
    <row r="17" ht="15" customHeight="1" s="32">
      <c r="A17" s="35" t="inlineStr">
        <is>
          <t>VALUATION RANGE — ASAF 18%</t>
        </is>
      </c>
    </row>
    <row r="18">
      <c r="A18" s="36" t="inlineStr">
        <is>
          <t>Floor (Conservative × FY24-25)</t>
        </is>
      </c>
      <c r="F18" s="58">
        <f>F5</f>
        <v/>
      </c>
    </row>
    <row r="19">
      <c r="A19" s="36" t="inlineStr">
        <is>
          <t>Mid (Mid × FY24-25)</t>
        </is>
      </c>
      <c r="F19" s="49">
        <f>F6</f>
        <v/>
      </c>
    </row>
    <row r="20">
      <c r="A20" s="36" t="inlineStr">
        <is>
          <t>Ceiling (High × Jun-25 peak ×12)</t>
        </is>
      </c>
      <c r="F20" s="58">
        <f>F10</f>
        <v/>
      </c>
    </row>
    <row r="21">
      <c r="A21" s="59" t="inlineStr">
        <is>
          <t>Recommended (Weighted avg × Mid)</t>
        </is>
      </c>
      <c r="F21" s="60">
        <f>F13</f>
        <v/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31" min="1" max="1"/>
    <col width="18" customWidth="1" style="31" min="2" max="5"/>
  </cols>
  <sheetData>
    <row r="1" ht="17.35" customHeight="1" s="32">
      <c r="A1" s="33" t="inlineStr">
        <is>
          <t>Account-of-Profits Anchor — Mobivate-side margin Sep 2024 → forward</t>
        </is>
      </c>
    </row>
    <row r="2" ht="15" customHeight="1" s="32">
      <c r="A2" s="34" t="inlineStr">
        <is>
          <t>Brad 13 May 2025 email: 'Mobivate/Marlau almost $100k worse off each month' at $500k RM fee → MBVT-side gross monthly margin ~$400k post-RM fee.</t>
        </is>
      </c>
    </row>
    <row r="4" ht="15" customHeight="1" s="32">
      <c r="A4" s="45" t="inlineStr">
        <is>
          <t>Item</t>
        </is>
      </c>
      <c r="B4" s="45" t="inlineStr">
        <is>
          <t>Months</t>
        </is>
      </c>
      <c r="C4" s="45" t="inlineStr">
        <is>
          <t>$ / month</t>
        </is>
      </c>
      <c r="D4" s="45" t="inlineStr">
        <is>
          <t>Total ($)</t>
        </is>
      </c>
      <c r="E4" s="45" t="inlineStr">
        <is>
          <t>Asaf 18% ($)</t>
        </is>
      </c>
    </row>
    <row r="5" ht="15" customHeight="1" s="32">
      <c r="A5" s="36" t="inlineStr">
        <is>
          <t>Diversion to date (Sep 2024 → Apr 2026)</t>
        </is>
      </c>
      <c r="B5" s="61">
        <f>Assumptions!$B$23</f>
        <v/>
      </c>
      <c r="C5" s="51">
        <f>Assumptions!$B$22</f>
        <v/>
      </c>
      <c r="D5" s="49">
        <f>B5*C5</f>
        <v/>
      </c>
      <c r="E5" s="49">
        <f>D5*Assumptions!$B$5</f>
        <v/>
      </c>
    </row>
    <row r="6" ht="15" customHeight="1" s="32">
      <c r="A6" s="36" t="inlineStr">
        <is>
          <t>Forward 12 months (litigation horizon)</t>
        </is>
      </c>
      <c r="B6" s="61">
        <f>Assumptions!$B$24</f>
        <v/>
      </c>
      <c r="C6" s="51">
        <f>Assumptions!$B$22</f>
        <v/>
      </c>
      <c r="D6" s="49">
        <f>B6*C6</f>
        <v/>
      </c>
      <c r="E6" s="49">
        <f>D6*Assumptions!$B$5</f>
        <v/>
      </c>
    </row>
    <row r="7" ht="15" customHeight="1" s="32">
      <c r="A7" s="35" t="inlineStr">
        <is>
          <t>TOTAL Mobivate margin attributable</t>
        </is>
      </c>
      <c r="D7" s="62">
        <f>SUM(D5:D6)</f>
        <v/>
      </c>
      <c r="E7" s="62">
        <f>SUM(E5:E6)</f>
        <v/>
      </c>
    </row>
    <row r="9" ht="36" customHeight="1" s="32">
      <c r="A9" s="63" t="inlineStr">
        <is>
          <t>Caveat: this is the Mobivate-side margin captured by Marlau via the diversion. It is recoverable on a constructive-trust / account-of-profits basis (Regal (Hastings) v Gulliver; Cook v Deeks). It is in addition to the equity-value damages on the Valuation sheet, not instead of.</t>
        </is>
      </c>
    </row>
  </sheetData>
  <mergeCells count="3">
    <mergeCell ref="A2:E2"/>
    <mergeCell ref="A1:E1"/>
    <mergeCell ref="A9:E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31" min="1" max="1"/>
    <col width="18" customWidth="1" style="31" min="2" max="4"/>
  </cols>
  <sheetData>
    <row r="1" ht="17.35" customHeight="1" s="32">
      <c r="A1" s="33" t="inlineStr">
        <is>
          <t>SBA Law / Brad 'Developer Overcharge' Clawback — Reality Check</t>
        </is>
      </c>
    </row>
    <row r="2" ht="15" customHeight="1" s="32">
      <c r="A2" s="34" t="inlineStr">
        <is>
          <t>Brad's $1.2M figure = ~$150k/yr × ~8 yrs of GROSS pass-through to SH. The only theoretically recoverable amount on any clawback theory is SH retained margin (~$40k over 7 years).</t>
        </is>
      </c>
    </row>
    <row r="4" ht="15" customHeight="1" s="32">
      <c r="A4" s="45" t="inlineStr">
        <is>
          <t>Item</t>
        </is>
      </c>
      <c r="B4" s="45" t="inlineStr">
        <is>
          <t>$</t>
        </is>
      </c>
      <c r="C4" s="45" t="inlineStr">
        <is>
          <t>Marlau 82% share ($)</t>
        </is>
      </c>
      <c r="D4" s="45" t="inlineStr">
        <is>
          <t>Source</t>
        </is>
      </c>
    </row>
    <row r="5" ht="15" customHeight="1" s="32">
      <c r="A5" s="36" t="inlineStr">
        <is>
          <t>Brad's alleged exposure (29 Dec 2025 'Formal Notice')</t>
        </is>
      </c>
      <c r="B5" s="51">
        <f>Assumptions!$B$26</f>
        <v/>
      </c>
      <c r="C5" s="49">
        <f>B5*Assumptions!$B$6</f>
        <v/>
      </c>
      <c r="D5" s="34" t="inlineStr">
        <is>
          <t>EMAIL-022 (29 Dec 2025)</t>
        </is>
      </c>
    </row>
    <row r="6" ht="15" customHeight="1" s="32">
      <c r="A6" s="36" t="inlineStr">
        <is>
          <t>SH gross pass-through total (~$150k/yr × 7yrs)</t>
        </is>
      </c>
      <c r="B6" s="49">
        <f>Assumptions!$B$27*Assumptions!$B$28</f>
        <v/>
      </c>
      <c r="C6" s="49">
        <f>B6*Assumptions!$B$6</f>
        <v/>
      </c>
      <c r="D6" s="34" t="inlineStr">
        <is>
          <t>Saasu / Shamir Holdings invoices</t>
        </is>
      </c>
    </row>
    <row r="7" ht="15" customHeight="1" s="32">
      <c r="A7" s="50" t="inlineStr">
        <is>
          <t>ACTUAL SH retained margin over arrangement</t>
        </is>
      </c>
      <c r="B7" s="64">
        <f>Assumptions!$B$29</f>
        <v/>
      </c>
      <c r="C7" s="58">
        <f>B7*Assumptions!$B$6</f>
        <v/>
      </c>
      <c r="D7" s="34" t="inlineStr">
        <is>
          <t>developer paid market rate</t>
        </is>
      </c>
    </row>
    <row r="9" ht="15" customHeight="1" s="32">
      <c r="A9" s="36" t="inlineStr">
        <is>
          <t>Inflation factor (Brad's figure ÷ actual retained)</t>
        </is>
      </c>
      <c r="B9" s="65">
        <f>B5/B7</f>
        <v/>
      </c>
    </row>
    <row r="11" ht="30" customHeight="1" s="32">
      <c r="A11" s="63" t="inlineStr">
        <is>
          <t>Net clawback after credit for benefit received (RM net profit grew 5.3x → $3.37M with developer in place)</t>
        </is>
      </c>
    </row>
    <row r="12" ht="15" customHeight="1" s="32">
      <c r="A12" s="36" t="inlineStr">
        <is>
          <t>Net clawback recoverable on any defensible theory</t>
        </is>
      </c>
      <c r="B12" s="42" t="n">
        <v>0</v>
      </c>
      <c r="C12" s="49">
        <f>B12*Assumptions!$B$6</f>
        <v/>
      </c>
      <c r="D12" s="34" t="inlineStr">
        <is>
          <t>benefit received &gt; pass-through; no net loss</t>
        </is>
      </c>
    </row>
  </sheetData>
  <mergeCells count="3">
    <mergeCell ref="A1:D1"/>
    <mergeCell ref="A2:D2"/>
    <mergeCell ref="A11:D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D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6" customWidth="1" style="31" min="1" max="1"/>
    <col width="18" customWidth="1" style="31" min="2" max="4"/>
  </cols>
  <sheetData>
    <row r="1" ht="17.35" customHeight="1" s="32">
      <c r="A1" s="33" t="inlineStr">
        <is>
          <t>Asaf Shamir — Total Damages Range</t>
        </is>
      </c>
    </row>
    <row r="2" ht="15" customHeight="1" s="32">
      <c r="A2" s="34" t="inlineStr">
        <is>
          <t>All figures Asaf's 18% share unless otherwise stated.</t>
        </is>
      </c>
    </row>
    <row r="4" ht="15" customHeight="1" s="32">
      <c r="A4" s="45" t="inlineStr">
        <is>
          <t>Component</t>
        </is>
      </c>
      <c r="B4" s="45" t="inlineStr">
        <is>
          <t>Floor ($)</t>
        </is>
      </c>
      <c r="C4" s="45" t="inlineStr">
        <is>
          <t>Mid ($)</t>
        </is>
      </c>
      <c r="D4" s="45" t="inlineStr">
        <is>
          <t>Ceiling ($)</t>
        </is>
      </c>
    </row>
    <row r="5" ht="15" customHeight="1" s="32">
      <c r="A5" s="36" t="inlineStr">
        <is>
          <t>A. Equity value of Asaf's 18% (capitalised earnings)</t>
        </is>
      </c>
      <c r="B5" s="51">
        <f>Valuation!F5</f>
        <v/>
      </c>
      <c r="C5" s="51">
        <f>Valuation!F13</f>
        <v/>
      </c>
      <c r="D5" s="51">
        <f>Valuation!F10</f>
        <v/>
      </c>
    </row>
    <row r="6" ht="15" customHeight="1" s="32">
      <c r="A6" s="36" t="inlineStr">
        <is>
          <t>B. Account of profits — 18% of Mobivate-side margin to date</t>
        </is>
      </c>
      <c r="B6" s="49">
        <f>'Account of Profits'!E5*0.5</f>
        <v/>
      </c>
      <c r="C6" s="51">
        <f>'Account of Profits'!E5</f>
        <v/>
      </c>
      <c r="D6" s="51">
        <f>'Account of Profits'!E5+'Account of Profits'!E6</f>
        <v/>
      </c>
    </row>
    <row r="7" ht="15" customHeight="1" s="32">
      <c r="A7" s="36" t="inlineStr">
        <is>
          <t>C. 18% of RM cash on hand</t>
        </is>
      </c>
      <c r="B7" s="49">
        <f>Assumptions!$B$16*Assumptions!$B$5</f>
        <v/>
      </c>
      <c r="C7" s="49">
        <f>Assumptions!$B$16*Assumptions!$B$5</f>
        <v/>
      </c>
      <c r="D7" s="49">
        <f>Assumptions!$B$16*Assumptions!$B$5</f>
        <v/>
      </c>
    </row>
    <row r="8" ht="27.75" customHeight="1" s="32">
      <c r="A8" s="66" t="inlineStr">
        <is>
          <t>D. 18% of unpaid Mobivate invoices 471 + 474 (RM receivable, Brad refused payment Jan–Feb 2026)</t>
        </is>
      </c>
      <c r="B8" s="49">
        <f>(Assumptions!$B$19+Assumptions!$B$20)*Assumptions!$B$5</f>
        <v/>
      </c>
      <c r="C8" s="49">
        <f>(Assumptions!$B$19+Assumptions!$B$20)*Assumptions!$B$5</f>
        <v/>
      </c>
      <c r="D8" s="49">
        <f>(Assumptions!$B$19+Assumptions!$B$20)*Assumptions!$B$5</f>
        <v/>
      </c>
    </row>
    <row r="9" ht="15" customHeight="1" s="32">
      <c r="A9" s="36" t="inlineStr">
        <is>
          <t>E. Less: defensible clawback (Marlau 82%)</t>
        </is>
      </c>
      <c r="B9" s="51">
        <f>'Clawback Counter'!C12</f>
        <v/>
      </c>
      <c r="C9" s="51">
        <f>'Clawback Counter'!C12</f>
        <v/>
      </c>
      <c r="D9" s="51">
        <f>'Clawback Counter'!C12</f>
        <v/>
      </c>
    </row>
    <row r="11" ht="15" customHeight="1" s="32">
      <c r="A11" s="35" t="inlineStr">
        <is>
          <t>TOTAL recoverable claim (A + B + C + D − E)</t>
        </is>
      </c>
      <c r="B11" s="62">
        <f>B5+B6+B7+B8-B9</f>
        <v/>
      </c>
      <c r="C11" s="62">
        <f>C5+C6+C7+C8-C9</f>
        <v/>
      </c>
      <c r="D11" s="62">
        <f>D5+D6+D7+D8-D9</f>
        <v/>
      </c>
    </row>
    <row r="13" ht="15" customHeight="1" s="32">
      <c r="A13" s="50" t="inlineStr">
        <is>
          <t>HEADLINE — defensible damages range for Asaf's 18%</t>
        </is>
      </c>
      <c r="B13" s="67">
        <f>B11</f>
        <v/>
      </c>
      <c r="C13" s="67">
        <f>C11</f>
        <v/>
      </c>
      <c r="D13" s="67">
        <f>D11</f>
        <v/>
      </c>
    </row>
    <row r="15" ht="15" customHeight="1" s="32">
      <c r="A15" s="34" t="inlineStr">
        <is>
          <t>Memo: 100% RM receivable from Mobivate (invoices 471 + 474, undisputed)</t>
        </is>
      </c>
      <c r="B15" s="49">
        <f>Assumptions!$B$19+Assumptions!$B$20</f>
        <v/>
      </c>
      <c r="C15" s="34" t="inlineStr">
        <is>
          <t>Brad declared unilateral set-off 13 Feb 2026 — see EMAIL-050</t>
        </is>
      </c>
    </row>
    <row r="16" ht="72" customHeight="1" s="32">
      <c r="A16" s="63" t="inlineStr">
        <is>
          <t>Sources: Saasu Multi-Year &amp; Multi-Month P&amp;L exports; Brad's MBVT-to-RWM diversion blueprint (Brad_MBVT_to_RWM_2025-05-13.xlsx); Brad 13 May 2025 'Mobivate/Marlau almost $100k worse off' email (EMAIL-013); Brad 29 Dec 2025 'Formal Notice' (EMAIL-022); Mobivate unpaid invoices 471/474 thread Jan–Feb 2026 (EMAIL-045 to EMAIL-051). All cell references linked — change any blue input on the Assumptions sheet to flex the model.</t>
        </is>
      </c>
    </row>
    <row r="17">
      <c r="A17" s="68" t="inlineStr">
        <is>
          <t>Note: Mid case updated to use weighted-average earnings (50% FY24-25 + 50% Jun-25 peak annualised) at 5× multiple — most defensible before an independent valuer.</t>
        </is>
      </c>
    </row>
  </sheetData>
  <mergeCells count="3">
    <mergeCell ref="A1:D1"/>
    <mergeCell ref="A2:D2"/>
    <mergeCell ref="A16:D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2026-04-06T08:36:16Z</dcterms:created>
  <dcterms:modified xmlns:dcterms="http://purl.org/dc/terms/" xmlns:xsi="http://www.w3.org/2001/XMLSchema-instance" xsi:type="dcterms:W3CDTF">2026-04-20T02:15:32Z</dcterms:modified>
  <cp:revision>0</cp:revision>
</cp:coreProperties>
</file>